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Produtos\GI PRO\Planilhas RTD\"/>
    </mc:Choice>
  </mc:AlternateContent>
  <bookViews>
    <workbookView xWindow="0" yWindow="60" windowWidth="20490" windowHeight="8085"/>
  </bookViews>
  <sheets>
    <sheet name="Capa" sheetId="4" r:id="rId1"/>
    <sheet name="Introdução" sheetId="14" r:id="rId2"/>
    <sheet name="Cálculo" sheetId="20" r:id="rId3"/>
    <sheet name="Calculadora" sheetId="16" r:id="rId4"/>
    <sheet name="Dados Gráfico" sheetId="17" state="hidden" r:id="rId5"/>
  </sheets>
  <calcPr calcId="162913"/>
</workbook>
</file>

<file path=xl/calcChain.xml><?xml version="1.0" encoding="utf-8"?>
<calcChain xmlns="http://schemas.openxmlformats.org/spreadsheetml/2006/main">
  <c r="F12" i="20" l="1"/>
  <c r="N42" i="20" l="1"/>
  <c r="K1" i="17" s="1"/>
  <c r="F34" i="20"/>
  <c r="E20" i="16"/>
  <c r="N43" i="20"/>
  <c r="E9" i="16"/>
  <c r="F13" i="20"/>
  <c r="D6" i="16"/>
  <c r="E42" i="20" l="1"/>
  <c r="B1" i="17" s="1"/>
  <c r="I42" i="20"/>
  <c r="F1" i="17" s="1"/>
  <c r="M42" i="20"/>
  <c r="J1" i="17" s="1"/>
  <c r="F42" i="20"/>
  <c r="C1" i="17" s="1"/>
  <c r="J42" i="20"/>
  <c r="G1" i="17" s="1"/>
  <c r="G42" i="20"/>
  <c r="D1" i="17" s="1"/>
  <c r="K42" i="20"/>
  <c r="H1" i="17" s="1"/>
  <c r="H42" i="20"/>
  <c r="E1" i="17" s="1"/>
  <c r="L42" i="20"/>
  <c r="I1" i="17" s="1"/>
  <c r="K43" i="20"/>
  <c r="G43" i="20"/>
  <c r="F43" i="20"/>
  <c r="L43" i="20"/>
  <c r="J43" i="20"/>
  <c r="H43" i="20"/>
  <c r="M43" i="20"/>
  <c r="I43" i="20"/>
  <c r="E43" i="20"/>
  <c r="F15" i="20" l="1"/>
  <c r="F16" i="20"/>
  <c r="F14" i="20" l="1"/>
  <c r="F17" i="20"/>
  <c r="G17" i="20" s="1"/>
  <c r="F27" i="20"/>
  <c r="F25" i="20" l="1"/>
  <c r="H17" i="20"/>
  <c r="I17" i="20" s="1"/>
  <c r="J17" i="20" s="1"/>
  <c r="G18" i="20"/>
  <c r="G19" i="20" s="1"/>
  <c r="F18" i="20"/>
  <c r="F19" i="20" s="1"/>
  <c r="H18" i="20" l="1"/>
  <c r="H19" i="20" s="1"/>
  <c r="K17" i="20"/>
  <c r="I18" i="20" l="1"/>
  <c r="I19" i="20" s="1"/>
  <c r="J18" i="20" l="1"/>
  <c r="J19" i="20" s="1"/>
  <c r="L17" i="20" l="1"/>
  <c r="M17" i="20" s="1"/>
  <c r="N17" i="20" s="1"/>
  <c r="O17" i="20" s="1"/>
  <c r="K18" i="20"/>
  <c r="K19" i="20" s="1"/>
  <c r="L18" i="20" l="1"/>
  <c r="L19" i="20" s="1"/>
  <c r="M18" i="20" l="1"/>
  <c r="M19" i="20" s="1"/>
  <c r="N18" i="20" l="1"/>
  <c r="N19" i="20" s="1"/>
  <c r="O18" i="20" l="1"/>
  <c r="O19" i="20" s="1"/>
  <c r="E46" i="20" l="1"/>
  <c r="E45" i="20" l="1"/>
  <c r="E48" i="20" s="1"/>
  <c r="K2" i="17"/>
  <c r="J2" i="17"/>
  <c r="H2" i="17"/>
  <c r="G2" i="17"/>
  <c r="F2" i="17" l="1"/>
  <c r="I2" i="17"/>
  <c r="F26" i="20" l="1"/>
  <c r="G20" i="20"/>
  <c r="F20" i="20"/>
  <c r="H20" i="20"/>
  <c r="I20" i="20"/>
  <c r="J20" i="20"/>
  <c r="K20" i="20"/>
  <c r="L20" i="20"/>
  <c r="M20" i="20"/>
  <c r="N20" i="20"/>
  <c r="O20" i="20"/>
  <c r="E2" i="17"/>
  <c r="F28" i="20" l="1"/>
  <c r="E7" i="20" s="1"/>
  <c r="F21" i="20"/>
  <c r="E6" i="20" s="1"/>
  <c r="D2" i="17"/>
  <c r="L1" i="17"/>
  <c r="E8" i="20" l="1"/>
  <c r="F33" i="20" s="1"/>
  <c r="F35" i="20" s="1"/>
  <c r="C2" i="17"/>
  <c r="M1" i="17"/>
  <c r="B2" i="17" l="1"/>
  <c r="E10" i="16"/>
  <c r="N1" i="17"/>
  <c r="M3" i="17" l="1"/>
  <c r="L3" i="17"/>
  <c r="O1" i="17"/>
  <c r="P1" i="17" l="1"/>
  <c r="N3" i="17" l="1"/>
  <c r="Q1" i="17"/>
  <c r="O3" i="17" l="1"/>
  <c r="R1" i="17"/>
  <c r="P3" i="17" l="1"/>
  <c r="S1" i="17"/>
  <c r="Q3" i="17" l="1"/>
  <c r="T1" i="17"/>
  <c r="R3" i="17" l="1"/>
  <c r="U1" i="17"/>
  <c r="S3" i="17" l="1"/>
  <c r="T3" i="17" l="1"/>
  <c r="U3" i="17" l="1"/>
  <c r="E21" i="16" l="1"/>
  <c r="E19" i="16" l="1"/>
</calcChain>
</file>

<file path=xl/comments1.xml><?xml version="1.0" encoding="utf-8"?>
<comments xmlns="http://schemas.openxmlformats.org/spreadsheetml/2006/main">
  <authors>
    <author>tiago.machado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Essa taxa é informada por você, mas altere somente na aba "Calculadora". 
Iremos calcular a taxa de crescimento dos últimos 10 anos para servir de orientação para estimarmos a taxa dos próximos 10 anos.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Este é o número de anos em que os dividendos irão crescer a uma taxa maior do que a perpetuidade.
Você pode mudar este valor se achar necessário. Normalmente, se utiliza 10 anos.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Estamos utilizando a taxa Selic atual como referência, mas você pode alterar esta célula com o valor que você desejar. Altere este valor na aba "Calculadora".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Número de anos a frente que o dividendo será recebido.
Serve apenas para auxiliar no cálculo e deixar a fórmula mais legível.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Valor futuro a ser recebido de dividendos a cada ano considerando a taxa de crescimento informada.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Exibe o valor de cada dividendo futuro já trazido a valor presente pela taxa de desconto.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Este é o valor do dividendo no último ano da fase de crescimento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Se desejar, altere a taxa de desconto na fase inicial para usarmos o mesmo valor nas duas fases.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Esta é a taxa pela qual os dividendos irão crescer durante a fase de crescimento estável (perpetuidade).
Essa taxa deve ser informada por você. 
Podemos assumir que a empresa irá crescer ao mesmo ritmo do PIB do país ou do setor onde atua. O resultado final é muito sensível a taxa de crescimento da perpetuidade, então, tome muito cuidado e lembre-se de ser conservador.</t>
        </r>
      </text>
    </comment>
  </commentList>
</comments>
</file>

<file path=xl/comments2.xml><?xml version="1.0" encoding="utf-8"?>
<comments xmlns="http://schemas.openxmlformats.org/spreadsheetml/2006/main">
  <authors>
    <author>tiago.machado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Coloque aqui o código da ação desejada.
Por exemplo: PETR4, GOAU4, VALE5, etc.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Este é o valor de dividendos pagos nos últimos 12 meses.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Esta é a taxa na qual os dividendos cresceram nos últimos 10 anos.
Irá servir de base para estimarmos a taxa de crescimento dos próximos 10 anos.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Taxa de crescimento dos dividendos durante a fase inicial.
Essa taxa deve ser informada por você. 
Iremos calcular a taxa de crescimento dos últimos 10 anos para servir de orientação para estimarmos a taxa dos próximos 10 anos.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Este é o número de anos em que os dividendos irão crescer a uma taxa maior do que a perpetuidade.
Você pode mudar este valor se achar necessário. Normalmente, se utiliza 10 anos.
A planilha está preparada para funcionar com períodos de 1 a 10 anos.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Estamos utilizando a taxa Selic atual como referência, mas você pode alterar esta célula com o valor que você desejar.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Esta é a taxa pela qual os dividendos irão crescer durante a fase de crescimento estável (perpetuidade).
Essa taxa deve ser informada por você. 
Podemos assumir que a empresa irá crescer ao mesmo ritmo do PIB do país ou do setor onde atua. O resultado final é muito sensível a taxa de crescimento da perpetuidade, então, tome muito cuidado e lembre-se de ser conservador.</t>
        </r>
      </text>
    </comment>
  </commentList>
</comments>
</file>

<file path=xl/sharedStrings.xml><?xml version="1.0" encoding="utf-8"?>
<sst xmlns="http://schemas.openxmlformats.org/spreadsheetml/2006/main" count="81" uniqueCount="68">
  <si>
    <t>Taxa de Desconto</t>
  </si>
  <si>
    <t>Taxa de Crescimento Histórica</t>
  </si>
  <si>
    <t>Histórico</t>
  </si>
  <si>
    <t>Fase Inicial</t>
  </si>
  <si>
    <t>Valor Intrínseco</t>
  </si>
  <si>
    <t>Modelo de Desconto de Dividendos (MDD)</t>
  </si>
  <si>
    <t>Fase Inicial de Crescimento</t>
  </si>
  <si>
    <t>Fase da Perpetuidade</t>
  </si>
  <si>
    <t>Resultado</t>
  </si>
  <si>
    <t xml:space="preserve">Sigla </t>
  </si>
  <si>
    <t>Cotação Atual Ação</t>
  </si>
  <si>
    <t>Margem de Segurança</t>
  </si>
  <si>
    <t>Normalmente, utiliza-se 10 anos para este cálculo.</t>
  </si>
  <si>
    <t>A soma do valor presente destas duas fases nos dará o valor intrínseco da empresa.</t>
  </si>
  <si>
    <t>Dividendo Pago por Ação (D)</t>
  </si>
  <si>
    <t>Taxa de Desconto (K)</t>
  </si>
  <si>
    <t>Número de Anos da Fase Inicial (n)</t>
  </si>
  <si>
    <t>Taxa de Crescimento (t)</t>
  </si>
  <si>
    <t xml:space="preserve">O problema deste modelo é que não avalia o quanto a empresa está gerando de valor que não foi distribuído em forma de dividendos. </t>
  </si>
  <si>
    <t xml:space="preserve">Buffett acredita que a empresa deve distribuir dividendos somente se não tiver onde reinvestir seus lucros. </t>
  </si>
  <si>
    <t xml:space="preserve">Recomendo a leitura deste artigo do blog do GuiaInvest sobre a opinião do Buffett sobre dividendos: </t>
  </si>
  <si>
    <t>http://blog.guiainvest.com.br/acoes/voce-sabe-por-que-warren-buffett-nao-gosta-de-dividendos/</t>
  </si>
  <si>
    <t>Número do Ano do Dividendo</t>
  </si>
  <si>
    <t>Valor da Fase Inicial (FI)</t>
  </si>
  <si>
    <t>Fluxo de Dividendos Futuros</t>
  </si>
  <si>
    <t>Valor Presente dos Dividendos</t>
  </si>
  <si>
    <t>Taxa de Crescimento Perpetuidade</t>
  </si>
  <si>
    <t>Valor da Perpetuidade (FP)</t>
  </si>
  <si>
    <t>Cotação Atual da Ação</t>
  </si>
  <si>
    <t>Aqui estão todos os parâmetros necessários para calcular o valor intrínseco através do Modelo de Desconto de Dividendos.</t>
  </si>
  <si>
    <t>próximos 10 anos.</t>
  </si>
  <si>
    <t>A taxa de crescimento histórica dos dividendos nos últimos 10 anos servirá como base para você estimar o crescimento dos</t>
  </si>
  <si>
    <t>Dividendo Ajustado</t>
  </si>
  <si>
    <t>Taxa Crescimento (t)</t>
  </si>
  <si>
    <t>Número de Anos (n)</t>
  </si>
  <si>
    <t>Valor Final (VF)</t>
  </si>
  <si>
    <t>Valor Inicial (VI)</t>
  </si>
  <si>
    <t xml:space="preserve">Taxa de Crescimento </t>
  </si>
  <si>
    <t>Projeção</t>
  </si>
  <si>
    <t>somente o valor distribuído para os acionistas no cálculo do valor intrínseco.</t>
  </si>
  <si>
    <t>Geralmente, as grandes pagadoras de dividendos são aquelas empresas que já estão na fase de maturidade dos seus negócios, como</t>
  </si>
  <si>
    <t>um valor intrínseco subavaliado. Dessa maneira, em um mercado de alta, onde os preços das ações subam como um todo, haverão</t>
  </si>
  <si>
    <t>Outro ponto é que este modelo não leva em consideração os ativos intangíveis como marca e patentes, mais um motivo que leva a</t>
  </si>
  <si>
    <t xml:space="preserve">poucas opções de compra. </t>
  </si>
  <si>
    <t>• fase inicial, onde os dividendos crescerão a uma taxa acelerada por um certo período;</t>
  </si>
  <si>
    <t>• fase da perpetuidade, onde o crescimento será estável e por um período indefinido.</t>
  </si>
  <si>
    <t xml:space="preserve">A fase da perpetuidade é onde a empresa atinge a sua maturidade, assume-se que os dividendos crescerão a uma taxa constante, </t>
  </si>
  <si>
    <t>que pode ser a taxa de crescimento da economia ou do setor que a empresa atua.</t>
  </si>
  <si>
    <t>serão pagos no futuro. Para calcular o valor intrínseco pelo Modelo de Desconto de Dividendos (MDD), usaremos a técnica do Fluxo de</t>
  </si>
  <si>
    <t>Caixa Descontado (FCD) que serve para calcular o valor presente de fluxos futuros (dividendos, lucros, ...).</t>
  </si>
  <si>
    <t xml:space="preserve">* Altere apenas os valores das células com fundo azul </t>
  </si>
  <si>
    <t>Valor Intrínseco (VI)</t>
  </si>
  <si>
    <t>Taxa de Crescimento Histórica *</t>
  </si>
  <si>
    <t xml:space="preserve">Iremos utilizar o Fluxo de Caixa Descontado de duas fases: </t>
  </si>
  <si>
    <t>Resumindo, o significado deste método é assumir que o valor da ação é a soma do valor presente de seus dividendos que</t>
  </si>
  <si>
    <t xml:space="preserve">Valor presente é o valor atual de um valor que você receberá no futuro considerando o seu custo de oportunidade. Explicando de outra </t>
  </si>
  <si>
    <t>e receber os juros durante estes cinco anos.</t>
  </si>
  <si>
    <t>Na fase inicial, projetaremos explicitamente os dividendos durante um período de tempo que consideramos adequado para a empresa.</t>
  </si>
  <si>
    <t>O Modelo de Desconto de Dividendos é considerado um maneira bem conservadora de cálculo de valor intrínseco, pois considera</t>
  </si>
  <si>
    <t>maneira, R$ 1 que você irá receber daqui a cinco anos vale menos do que um real que você irá receber hoje, pois você pode investir</t>
  </si>
  <si>
    <t>Ano dos Dividendos</t>
  </si>
  <si>
    <t xml:space="preserve">Todo investidor, ao comprar uma ação, espera ganhar dinheiro de 2 formas: com a valorização do preço da ação e com os dividendos. </t>
  </si>
  <si>
    <t>Muitos investidores investem com o único objetivo: receber dividendos, afinal é dinheiro garantido recebido periodicamente.</t>
  </si>
  <si>
    <t xml:space="preserve">Empresas em fase de crescimento acelerado costumam distribuir pouco, ou até nenhum dividendo para os seus acionistas. </t>
  </si>
  <si>
    <t>a Souza Cruz ou empresas do setor elétrico, por exemplo.</t>
  </si>
  <si>
    <t>Dividendo do Último Ano (Dn)</t>
  </si>
  <si>
    <t>* Esta planilha precisa do GuiaInvest RTD instalado para atualizar todos os dados automaticamente</t>
  </si>
  <si>
    <t>GRND3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</si>
</sst>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_-;\-* #,##0.0000_-;_-* &quot;-&quot;??_-;_-@_-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0" tint="-0.34998626667073579"/>
      <name val="Calibri Light"/>
      <family val="1"/>
      <scheme val="major"/>
    </font>
    <font>
      <sz val="10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2" tint="-0.749992370372631"/>
      <name val="Calibri"/>
      <family val="2"/>
      <scheme val="minor"/>
    </font>
    <font>
      <sz val="28"/>
      <color theme="4" tint="-0.249977111117893"/>
      <name val="Arial"/>
      <family val="2"/>
    </font>
    <font>
      <sz val="12"/>
      <color rgb="FF000000"/>
      <name val="Arial"/>
      <family val="2"/>
    </font>
    <font>
      <sz val="20"/>
      <color theme="4" tint="-0.249977111117893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1.5"/>
      <color rgb="FF000000"/>
      <name val="Arial"/>
      <family val="2"/>
    </font>
    <font>
      <u/>
      <sz val="11.5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2" tint="-0.499984740745262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43" fontId="12" fillId="0" borderId="0" xfId="4" applyNumberFormat="1" applyFont="1" applyAlignment="1">
      <alignment horizontal="left" indent="2"/>
    </xf>
    <xf numFmtId="43" fontId="12" fillId="0" borderId="0" xfId="4" applyNumberFormat="1" applyFont="1" applyAlignment="1">
      <alignment horizontal="left"/>
    </xf>
    <xf numFmtId="9" fontId="14" fillId="0" borderId="0" xfId="1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18" fillId="0" borderId="0" xfId="4" applyNumberFormat="1" applyFont="1" applyAlignment="1">
      <alignment horizontal="left"/>
    </xf>
    <xf numFmtId="166" fontId="12" fillId="0" borderId="0" xfId="4" applyNumberFormat="1" applyFont="1" applyAlignment="1">
      <alignment horizontal="left"/>
    </xf>
    <xf numFmtId="0" fontId="19" fillId="0" borderId="0" xfId="0" applyFont="1" applyAlignment="1">
      <alignment vertical="center"/>
    </xf>
    <xf numFmtId="0" fontId="5" fillId="0" borderId="0" xfId="0" applyFont="1"/>
    <xf numFmtId="1" fontId="5" fillId="0" borderId="0" xfId="0" applyNumberFormat="1" applyFont="1"/>
    <xf numFmtId="2" fontId="5" fillId="0" borderId="0" xfId="0" applyNumberFormat="1" applyFont="1"/>
    <xf numFmtId="10" fontId="12" fillId="0" borderId="0" xfId="4" applyNumberFormat="1" applyFont="1" applyAlignment="1">
      <alignment horizontal="right"/>
    </xf>
    <xf numFmtId="167" fontId="18" fillId="0" borderId="0" xfId="4" applyNumberFormat="1" applyFont="1" applyAlignment="1">
      <alignment horizontal="right"/>
    </xf>
    <xf numFmtId="167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7" fillId="0" borderId="0" xfId="0" applyNumberFormat="1" applyFont="1" applyAlignment="1">
      <alignment vertical="center"/>
    </xf>
    <xf numFmtId="165" fontId="12" fillId="0" borderId="0" xfId="1" applyNumberFormat="1" applyFont="1" applyFill="1" applyAlignment="1">
      <alignment horizontal="right"/>
    </xf>
    <xf numFmtId="164" fontId="12" fillId="0" borderId="0" xfId="4" applyNumberFormat="1" applyFont="1" applyFill="1" applyAlignment="1">
      <alignment horizontal="left"/>
    </xf>
    <xf numFmtId="10" fontId="12" fillId="0" borderId="0" xfId="1" applyNumberFormat="1" applyFont="1" applyFill="1" applyAlignment="1">
      <alignment horizontal="right"/>
    </xf>
    <xf numFmtId="0" fontId="0" fillId="3" borderId="0" xfId="0" applyFill="1"/>
    <xf numFmtId="0" fontId="8" fillId="3" borderId="0" xfId="0" applyFont="1" applyFill="1"/>
    <xf numFmtId="43" fontId="12" fillId="0" borderId="0" xfId="1" applyNumberFormat="1" applyFont="1" applyFill="1" applyAlignment="1">
      <alignment horizontal="right"/>
    </xf>
    <xf numFmtId="0" fontId="12" fillId="3" borderId="0" xfId="0" applyFont="1" applyFill="1"/>
    <xf numFmtId="0" fontId="14" fillId="0" borderId="0" xfId="0" applyFont="1" applyAlignment="1">
      <alignment horizontal="left"/>
    </xf>
    <xf numFmtId="2" fontId="12" fillId="0" borderId="0" xfId="0" applyNumberFormat="1" applyFont="1"/>
    <xf numFmtId="0" fontId="18" fillId="0" borderId="0" xfId="0" applyFont="1"/>
    <xf numFmtId="1" fontId="12" fillId="0" borderId="0" xfId="0" applyNumberFormat="1" applyFont="1"/>
    <xf numFmtId="0" fontId="0" fillId="4" borderId="0" xfId="0" applyFill="1"/>
    <xf numFmtId="1" fontId="0" fillId="5" borderId="0" xfId="0" applyNumberFormat="1" applyFill="1"/>
    <xf numFmtId="165" fontId="12" fillId="2" borderId="1" xfId="1" applyNumberFormat="1" applyFont="1" applyFill="1" applyBorder="1" applyAlignment="1" applyProtection="1">
      <alignment horizontal="right"/>
      <protection locked="0"/>
    </xf>
    <xf numFmtId="164" fontId="12" fillId="2" borderId="1" xfId="4" applyNumberFormat="1" applyFont="1" applyFill="1" applyBorder="1" applyAlignment="1" applyProtection="1">
      <alignment horizontal="left"/>
      <protection locked="0"/>
    </xf>
    <xf numFmtId="10" fontId="12" fillId="2" borderId="1" xfId="1" applyNumberFormat="1" applyFont="1" applyFill="1" applyBorder="1" applyAlignment="1" applyProtection="1">
      <alignment horizontal="right"/>
      <protection locked="0"/>
    </xf>
    <xf numFmtId="0" fontId="0" fillId="6" borderId="0" xfId="0" applyFill="1"/>
    <xf numFmtId="0" fontId="13" fillId="2" borderId="1" xfId="0" applyFont="1" applyFill="1" applyBorder="1" applyProtection="1">
      <protection locked="0"/>
    </xf>
    <xf numFmtId="0" fontId="20" fillId="0" borderId="0" xfId="0" applyFont="1"/>
    <xf numFmtId="0" fontId="12" fillId="0" borderId="0" xfId="4" applyNumberFormat="1" applyFont="1" applyFill="1" applyAlignment="1">
      <alignment horizontal="right"/>
    </xf>
    <xf numFmtId="43" fontId="0" fillId="0" borderId="0" xfId="0" applyNumberFormat="1"/>
    <xf numFmtId="167" fontId="12" fillId="0" borderId="0" xfId="0" applyNumberFormat="1" applyFont="1"/>
    <xf numFmtId="0" fontId="12" fillId="0" borderId="0" xfId="0" applyFont="1" applyFill="1" applyBorder="1" applyProtection="1"/>
    <xf numFmtId="10" fontId="18" fillId="0" borderId="0" xfId="1" applyNumberFormat="1" applyFont="1"/>
    <xf numFmtId="10" fontId="12" fillId="0" borderId="0" xfId="1" applyNumberFormat="1" applyFont="1" applyFill="1" applyAlignment="1" applyProtection="1">
      <alignment horizontal="right"/>
      <protection locked="0"/>
    </xf>
    <xf numFmtId="0" fontId="16" fillId="0" borderId="0" xfId="5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6">
    <cellStyle name="Hiperlink" xfId="5" builtinId="8"/>
    <cellStyle name="Normal" xfId="0" builtinId="0"/>
    <cellStyle name="Normal 2" xfId="3"/>
    <cellStyle name="Porcentagem" xfId="1" builtinId="5"/>
    <cellStyle name="Título 1 2" xfId="2"/>
    <cellStyle name="Vírgula" xfId="4" builtinId="3"/>
  </cellStyles>
  <dxfs count="18"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rgb="FFCC6600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9" tint="0.39994506668294322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9" tint="0.39994506668294322"/>
        </top>
        <bottom style="thin">
          <color theme="9" tint="0.39994506668294322"/>
        </bottom>
        <vertical style="thick">
          <color theme="0"/>
        </vertical>
        <horizontal/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rgb="FF00B050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rgb="FF00B050"/>
        </top>
        <bottom style="thin">
          <color rgb="FF00B050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rgb="FF00B0F0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rgb="FF00B0F0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rgb="FF00B0F0"/>
        </top>
        <bottom style="thin">
          <color rgb="FF00B0F0"/>
        </bottom>
        <vertical style="thick">
          <color theme="0"/>
        </vertical>
      </border>
    </dxf>
    <dxf>
      <font>
        <b val="0"/>
        <i val="0"/>
        <color theme="0" tint="-0.34998626667073579"/>
      </font>
      <fill>
        <patternFill patternType="none">
          <bgColor auto="1"/>
        </patternFill>
      </fill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TableStyleMedium2" defaultPivotStyle="PivotStyleLight16">
    <tableStyle name="Family Budget Cash Available" pivot="0" count="6">
      <tableStyleElement type="wholeTable" dxfId="17"/>
      <tableStyleElement type="headerRow" dxfId="16"/>
      <tableStyleElement type="totalRow" dxfId="15"/>
      <tableStyleElement type="firstColumn" dxfId="14"/>
      <tableStyleElement type="firstHeaderCell" dxfId="13"/>
      <tableStyleElement type="firstTotalCell" dxfId="12"/>
    </tableStyle>
    <tableStyle name="Family Budget Cash Available 2" pivot="0" count="6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  <tableStyleElement type="firstTotalCell" dxfId="6"/>
    </tableStyle>
    <tableStyle name="Family Budget Cash Available 3" pivot="0" count="6">
      <tableStyleElement type="wholeTable" dxfId="5"/>
      <tableStyleElement type="headerRow" dxfId="4"/>
      <tableStyleElement type="totalRow" dxfId="3"/>
      <tableStyleElement type="firstColumn" dxfId="2"/>
      <tableStyleElement type="firstHeaderCell" dxfId="1"/>
      <tableStyleElement type="firstTotalCell" dxfId="0"/>
    </tableStyle>
  </tableStyles>
  <colors>
    <mruColors>
      <color rgb="FFFF3300"/>
      <color rgb="FFFEF2EC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d1840b9750674fb8ab00f77f12d69c41">
      <tp>
        <v>16.47</v>
        <stp/>
        <stp>PrecoUltimo</stp>
        <stp>GRND3</stp>
        <tr r="E20" s="16"/>
        <tr r="F34" s="20"/>
      </tp>
    </main>
    <main first="rtdsrv.37e44dbf8c9040579a3251290e10154a">
      <tp>
        <v>0.86599999999999999</v>
        <stp/>
        <stp>DividendoPagoAcao</stp>
        <stp>GRND3</stp>
        <stp/>
        <stp>1</stp>
        <stp>NP</stp>
        <tr r="F13" s="20"/>
        <tr r="E9" s="16"/>
      </tp>
    </main>
    <main first="rtdsrv.37e44dbf8c9040579a3251290e10154a">
      <tp t="s">
        <v>GRENDENE ON</v>
        <stp/>
        <stp>Nome</stp>
        <stp>GRND3</stp>
        <stp/>
        <stp/>
        <stp/>
        <tr r="D6" s="16"/>
      </tp>
    </main>
    <main first="rtdsrv.37e44dbf8c9040579a3251290e10154a">
      <tp>
        <v>0.86599999999999999</v>
        <stp/>
        <stp>DividendoPagoAcao</stp>
        <stp>GRND3</stp>
        <stp>4T_2015</stp>
        <stp>1</stp>
        <stp>NP</stp>
        <tr r="N43" s="20"/>
      </tp>
      <tp>
        <v>0.78490000000000004</v>
        <stp/>
        <stp>DividendoPagoAcao</stp>
        <stp>GRND3</stp>
        <stp>4T_2014</stp>
        <stp>1</stp>
        <stp>NP</stp>
        <tr r="M43" s="20"/>
      </tp>
      <tp>
        <v>0.60929999999999995</v>
        <stp/>
        <stp>DividendoPagoAcao</stp>
        <stp>GRND3</stp>
        <stp>4T_2011</stp>
        <stp>1</stp>
        <stp>NP</stp>
        <tr r="J43" s="20"/>
      </tp>
      <tp>
        <v>0.3483</v>
        <stp/>
        <stp>DividendoPagoAcao</stp>
        <stp>GRND3</stp>
        <stp>4T_2010</stp>
        <stp>1</stp>
        <stp>NP</stp>
        <tr r="I43" s="20"/>
      </tp>
      <tp>
        <v>0.97799999999999998</v>
        <stp/>
        <stp>DividendoPagoAcao</stp>
        <stp>GRND3</stp>
        <stp>4T_2013</stp>
        <stp>1</stp>
        <stp>NP</stp>
        <tr r="L43" s="20"/>
      </tp>
      <tp>
        <v>0.91320000000000001</v>
        <stp/>
        <stp>DividendoPagoAcao</stp>
        <stp>GRND3</stp>
        <stp>4T_2012</stp>
        <stp>1</stp>
        <stp>NP</stp>
        <tr r="K43" s="20"/>
      </tp>
      <tp>
        <v>0.39950000000000002</v>
        <stp/>
        <stp>DividendoPagoAcao</stp>
        <stp>GRND3</stp>
        <stp>4T_2009</stp>
        <stp>1</stp>
        <stp>NP</stp>
        <tr r="H43" s="20"/>
      </tp>
      <tp>
        <v>0.37519999999999998</v>
        <stp/>
        <stp>DividendoPagoAcao</stp>
        <stp>GRND3</stp>
        <stp>4T_2008</stp>
        <stp>1</stp>
        <stp>NP</stp>
        <tr r="G43" s="20"/>
      </tp>
      <tp>
        <v>0.40029999999999999</v>
        <stp/>
        <stp>DividendoPagoAcao</stp>
        <stp>GRND3</stp>
        <stp>4T_2007</stp>
        <stp>1</stp>
        <stp>NP</stp>
        <tr r="F43" s="20"/>
      </tp>
      <tp>
        <v>0.4098</v>
        <stp/>
        <stp>DividendoPagoAcao</stp>
        <stp>GRND3</stp>
        <stp>4T_2006</stp>
        <stp>1</stp>
        <stp>NP</stp>
        <tr r="E43" s="2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Dividendo Pago por</a:t>
            </a:r>
            <a:r>
              <a:rPr lang="en-US" baseline="0"/>
              <a:t> Ação *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Dividendos Históricos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'Dados Gráfico'!$B$1:$U$1</c:f>
              <c:numCache>
                <c:formatCode>General</c:formatCode>
                <c:ptCount val="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  <c:pt idx="17" formatCode="0">
                  <c:v>2023</c:v>
                </c:pt>
                <c:pt idx="18" formatCode="0">
                  <c:v>2024</c:v>
                </c:pt>
                <c:pt idx="19" formatCode="0">
                  <c:v>2025</c:v>
                </c:pt>
              </c:numCache>
            </c:numRef>
          </c:cat>
          <c:val>
            <c:numRef>
              <c:f>'Dados Gráfico'!$B$2:$U$2</c:f>
              <c:numCache>
                <c:formatCode>0.00</c:formatCode>
                <c:ptCount val="20"/>
                <c:pt idx="0">
                  <c:v>0.4098</c:v>
                </c:pt>
                <c:pt idx="1">
                  <c:v>0.40029999999999999</c:v>
                </c:pt>
                <c:pt idx="2">
                  <c:v>0.37519999999999998</c:v>
                </c:pt>
                <c:pt idx="3">
                  <c:v>0.39950000000000002</c:v>
                </c:pt>
                <c:pt idx="4">
                  <c:v>0.3483</c:v>
                </c:pt>
                <c:pt idx="5">
                  <c:v>0.60929999999999995</c:v>
                </c:pt>
                <c:pt idx="6">
                  <c:v>0.91320000000000001</c:v>
                </c:pt>
                <c:pt idx="7">
                  <c:v>0.97799999999999998</c:v>
                </c:pt>
                <c:pt idx="8">
                  <c:v>0.78490000000000004</c:v>
                </c:pt>
                <c:pt idx="9">
                  <c:v>0.86599999999999999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6-4788-B043-1E72F0C0B0E2}"/>
            </c:ext>
          </c:extLst>
        </c:ser>
        <c:ser>
          <c:idx val="1"/>
          <c:order val="1"/>
          <c:tx>
            <c:v>Dividendos Projetados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'Dados Gráfico'!$B$1:$U$1</c:f>
              <c:numCache>
                <c:formatCode>General</c:formatCode>
                <c:ptCount val="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  <c:pt idx="17" formatCode="0">
                  <c:v>2023</c:v>
                </c:pt>
                <c:pt idx="18" formatCode="0">
                  <c:v>2024</c:v>
                </c:pt>
                <c:pt idx="19" formatCode="0">
                  <c:v>2025</c:v>
                </c:pt>
              </c:numCache>
            </c:numRef>
          </c:cat>
          <c:val>
            <c:numRef>
              <c:f>'Dados Gráfico'!$B$3:$U$3</c:f>
              <c:numCache>
                <c:formatCode>General</c:formatCode>
                <c:ptCount val="20"/>
                <c:pt idx="10" formatCode="0.00">
                  <c:v>0.86599999999999999</c:v>
                </c:pt>
                <c:pt idx="11" formatCode="0.00">
                  <c:v>0.95260000000000011</c:v>
                </c:pt>
                <c:pt idx="12" formatCode="0.00">
                  <c:v>1.0478600000000002</c:v>
                </c:pt>
                <c:pt idx="13" formatCode="0.00">
                  <c:v>1.1526460000000003</c:v>
                </c:pt>
                <c:pt idx="14" formatCode="0.00">
                  <c:v>1.2679106000000004</c:v>
                </c:pt>
                <c:pt idx="15" formatCode="0.00">
                  <c:v>1.3947016600000004</c:v>
                </c:pt>
                <c:pt idx="16" formatCode="0.00">
                  <c:v>1.5341718260000008</c:v>
                </c:pt>
                <c:pt idx="17" formatCode="0.00">
                  <c:v>1.6875890086000009</c:v>
                </c:pt>
                <c:pt idx="18" formatCode="0.00">
                  <c:v>1.8563479094600011</c:v>
                </c:pt>
                <c:pt idx="19" formatCode="0.00">
                  <c:v>2.0419827004060012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6-4788-B043-1E72F0C0B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56302080"/>
        <c:axId val="89348864"/>
      </c:barChart>
      <c:catAx>
        <c:axId val="563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348864"/>
        <c:crosses val="autoZero"/>
        <c:auto val="1"/>
        <c:lblAlgn val="ctr"/>
        <c:lblOffset val="100"/>
        <c:noMultiLvlLbl val="0"/>
      </c:catAx>
      <c:valAx>
        <c:axId val="893488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83487</xdr:colOff>
      <xdr:row>0</xdr:row>
      <xdr:rowOff>47625</xdr:rowOff>
    </xdr:from>
    <xdr:to>
      <xdr:col>14</xdr:col>
      <xdr:colOff>511371</xdr:colOff>
      <xdr:row>32</xdr:row>
      <xdr:rowOff>171450</xdr:rowOff>
    </xdr:to>
    <xdr:grpSp>
      <xdr:nvGrpSpPr>
        <xdr:cNvPr id="2" name="Grupo 1"/>
        <xdr:cNvGrpSpPr/>
      </xdr:nvGrpSpPr>
      <xdr:grpSpPr>
        <a:xfrm>
          <a:off x="83487" y="47625"/>
          <a:ext cx="8962284" cy="6219825"/>
          <a:chOff x="1645587" y="381000"/>
          <a:chExt cx="10262899" cy="7122452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45587" y="381000"/>
            <a:ext cx="10262899" cy="7122452"/>
          </a:xfrm>
          <a:prstGeom prst="rect">
            <a:avLst/>
          </a:prstGeom>
        </xdr:spPr>
      </xdr:pic>
      <xdr:pic>
        <xdr:nvPicPr>
          <xdr:cNvPr id="6" name="Imagem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99455" y="7109187"/>
            <a:ext cx="1602020" cy="201578"/>
          </a:xfrm>
          <a:prstGeom prst="rect">
            <a:avLst/>
          </a:prstGeom>
        </xdr:spPr>
      </xdr:pic>
      <xdr:sp macro="" textlink="">
        <xdr:nvSpPr>
          <xdr:cNvPr id="7" name="CaixaDeTexto 6"/>
          <xdr:cNvSpPr txBox="1"/>
        </xdr:nvSpPr>
        <xdr:spPr>
          <a:xfrm>
            <a:off x="2209800" y="476250"/>
            <a:ext cx="8896350" cy="15335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28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Cálculo do Valor Intrínseco</a:t>
            </a:r>
          </a:p>
          <a:p>
            <a:pPr algn="ctr"/>
            <a:endParaRPr lang="pt-BR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pt-BR" sz="3500">
                <a:solidFill>
                  <a:srgbClr val="FFC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Modelo de Desconto</a:t>
            </a:r>
            <a:r>
              <a:rPr lang="pt-BR" sz="3500" baseline="0">
                <a:solidFill>
                  <a:srgbClr val="FFC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Dividendos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7</xdr:row>
      <xdr:rowOff>180975</xdr:rowOff>
    </xdr:from>
    <xdr:to>
      <xdr:col>14</xdr:col>
      <xdr:colOff>533400</xdr:colOff>
      <xdr:row>16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log.guiainvest.com.br/acoes/voce-sabe-por-que-warren-buffett-nao-gosta-de-dividend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33"/>
  <sheetViews>
    <sheetView showGridLines="0" showRowColHeaders="0" tabSelected="1" zoomScaleNormal="100" workbookViewId="0">
      <selection activeCell="G20" sqref="G20"/>
    </sheetView>
  </sheetViews>
  <sheetFormatPr defaultColWidth="0" defaultRowHeight="15" zeroHeight="1" x14ac:dyDescent="0.25"/>
  <cols>
    <col min="1" max="15" width="9.140625" style="42" customWidth="1"/>
    <col min="16" max="16384" width="9.140625" style="42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showRowColHeaders="0" zoomScaleNormal="100" zoomScaleSheetLayoutView="100" workbookViewId="0">
      <selection activeCell="O20" sqref="O20"/>
    </sheetView>
  </sheetViews>
  <sheetFormatPr defaultColWidth="0" defaultRowHeight="20.100000000000001" customHeight="1" zeroHeight="1" x14ac:dyDescent="0.25"/>
  <cols>
    <col min="1" max="15" width="9.140625" customWidth="1"/>
    <col min="16" max="16384" width="9.140625" hidden="1"/>
  </cols>
  <sheetData>
    <row r="1" spans="1:15" ht="20.100000000000001" customHeight="1" x14ac:dyDescent="0.25"/>
    <row r="2" spans="1:15" ht="34.5" x14ac:dyDescent="0.45">
      <c r="B2" s="5" t="s">
        <v>5</v>
      </c>
    </row>
    <row r="3" spans="1:15" ht="20.100000000000001" customHeight="1" x14ac:dyDescent="0.25"/>
    <row r="4" spans="1:15" ht="20.100000000000001" customHeight="1" x14ac:dyDescent="0.25">
      <c r="A4" s="6"/>
      <c r="B4" s="13" t="s">
        <v>61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20.100000000000001" customHeight="1" x14ac:dyDescent="0.25">
      <c r="A5" s="6"/>
      <c r="B5" s="13" t="s">
        <v>62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0.100000000000001" customHeight="1" x14ac:dyDescent="0.25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0.100000000000001" customHeight="1" x14ac:dyDescent="0.25">
      <c r="A7" s="6"/>
      <c r="B7" s="13" t="s">
        <v>58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0.100000000000001" customHeight="1" x14ac:dyDescent="0.25">
      <c r="A8" s="6"/>
      <c r="B8" s="13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0.100000000000001" customHeight="1" x14ac:dyDescent="0.2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0.100000000000001" customHeight="1" x14ac:dyDescent="0.25">
      <c r="A10" s="6"/>
      <c r="B10" s="13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0.100000000000001" customHeight="1" x14ac:dyDescent="0.25">
      <c r="A11" s="6"/>
      <c r="B11" s="13" t="s">
        <v>63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0.100000000000001" customHeight="1" x14ac:dyDescent="0.25">
      <c r="A12" s="6"/>
      <c r="B12" s="13" t="s">
        <v>40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20.100000000000001" customHeight="1" x14ac:dyDescent="0.25">
      <c r="A13" s="6"/>
      <c r="B13" s="13" t="s">
        <v>64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0.100000000000001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0.100000000000001" customHeight="1" x14ac:dyDescent="0.25">
      <c r="A15" s="6"/>
      <c r="B15" s="13" t="s">
        <v>42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20.100000000000001" customHeight="1" x14ac:dyDescent="0.25">
      <c r="A16" s="6"/>
      <c r="B16" s="13" t="s">
        <v>41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0.100000000000001" customHeight="1" x14ac:dyDescent="0.25">
      <c r="A17" s="6"/>
      <c r="B17" s="13" t="s">
        <v>43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0.100000000000001" customHeight="1" x14ac:dyDescent="0.25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0.100000000000001" customHeight="1" x14ac:dyDescent="0.25">
      <c r="A19" s="6"/>
      <c r="B19" s="13" t="s">
        <v>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0.100000000000001" customHeight="1" x14ac:dyDescent="0.25">
      <c r="A20" s="6"/>
      <c r="B20" s="13" t="s">
        <v>20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0.100000000000001" customHeight="1" x14ac:dyDescent="0.25">
      <c r="A21" s="6"/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13"/>
      <c r="M21" s="13"/>
      <c r="N21" s="13"/>
      <c r="O21" s="13"/>
    </row>
    <row r="22" spans="1:15" ht="20.100000000000001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0.100000000000001" customHeight="1" x14ac:dyDescent="0.25">
      <c r="A23" s="6"/>
      <c r="B23" s="13" t="s">
        <v>54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0.100000000000001" customHeight="1" x14ac:dyDescent="0.25">
      <c r="A24" s="6"/>
      <c r="B24" s="13" t="s">
        <v>48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0.100000000000001" customHeight="1" x14ac:dyDescent="0.25">
      <c r="A25" s="6"/>
      <c r="B25" s="13" t="s">
        <v>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0.100000000000001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0.100000000000001" customHeight="1" x14ac:dyDescent="0.25">
      <c r="A27" s="6"/>
      <c r="B27" s="13" t="s">
        <v>55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0.100000000000001" customHeight="1" x14ac:dyDescent="0.25">
      <c r="A28" s="6"/>
      <c r="B28" s="13" t="s">
        <v>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0.100000000000001" customHeight="1" x14ac:dyDescent="0.25">
      <c r="A29" s="6"/>
      <c r="B29" s="13" t="s">
        <v>56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0.100000000000001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0.100000000000001" customHeight="1" x14ac:dyDescent="0.25">
      <c r="A31" s="6"/>
      <c r="B31" s="13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0.100000000000001" customHeight="1" x14ac:dyDescent="0.25">
      <c r="A32" s="6"/>
      <c r="B32" s="13"/>
      <c r="C32" s="13" t="s">
        <v>44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0.100000000000001" customHeight="1" x14ac:dyDescent="0.25">
      <c r="A33" s="6"/>
      <c r="B33" s="13"/>
      <c r="C33" s="13" t="s">
        <v>45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0.100000000000001" customHeight="1" x14ac:dyDescent="0.2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0.100000000000001" customHeight="1" x14ac:dyDescent="0.25">
      <c r="B35" s="13" t="s">
        <v>57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0.100000000000001" customHeight="1" x14ac:dyDescent="0.25">
      <c r="B36" s="13" t="s">
        <v>12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0.100000000000001" customHeight="1" x14ac:dyDescent="0.25">
      <c r="B37" s="13" t="s">
        <v>46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0.100000000000001" customHeight="1" x14ac:dyDescent="0.25">
      <c r="B38" s="13" t="s">
        <v>47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9.5" customHeight="1" x14ac:dyDescent="0.25">
      <c r="B39" s="13" t="s">
        <v>13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0.100000000000001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0.100000000000001" hidden="1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20.100000000000001" hidden="1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20.100000000000001" hidden="1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20.100000000000001" hidden="1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0.100000000000001" hidden="1" customHeight="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0.100000000000001" hidden="1" customHeight="1" x14ac:dyDescent="0.25"/>
    <row r="47" spans="1:15" ht="20.100000000000001" hidden="1" customHeight="1" x14ac:dyDescent="0.25"/>
  </sheetData>
  <sheetProtection password="DD07" sheet="1" objects="1" scenarios="1"/>
  <mergeCells count="1">
    <mergeCell ref="B21:K21"/>
  </mergeCells>
  <hyperlinks>
    <hyperlink ref="B21" r:id="rId1"/>
  </hyperlinks>
  <pageMargins left="0.25" right="0.25" top="0.75" bottom="0.75" header="0.3" footer="0.3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141"/>
  <sheetViews>
    <sheetView showGridLines="0" showRowColHeaders="0" zoomScaleNormal="100" workbookViewId="0">
      <selection activeCell="F12" sqref="F12"/>
    </sheetView>
  </sheetViews>
  <sheetFormatPr defaultColWidth="0" defaultRowHeight="20.100000000000001" customHeight="1" zeroHeight="1" x14ac:dyDescent="0.25"/>
  <cols>
    <col min="1" max="3" width="9.140625" customWidth="1"/>
    <col min="4" max="4" width="9.28515625" customWidth="1"/>
    <col min="5" max="5" width="8.42578125" customWidth="1"/>
    <col min="6" max="6" width="11.7109375" customWidth="1"/>
    <col min="7" max="13" width="9.140625" customWidth="1"/>
    <col min="14" max="15" width="7.5703125" customWidth="1"/>
    <col min="16" max="16" width="9.140625" customWidth="1"/>
    <col min="17" max="17" width="9.140625" hidden="1"/>
    <col min="16381" max="16384" width="9.140625" hidden="1"/>
  </cols>
  <sheetData>
    <row r="1" spans="2:14" ht="20.100000000000001" customHeight="1" x14ac:dyDescent="0.25"/>
    <row r="2" spans="2:14" ht="34.5" x14ac:dyDescent="0.45">
      <c r="B2" s="5" t="s">
        <v>5</v>
      </c>
    </row>
    <row r="3" spans="2:14" ht="20.100000000000001" customHeight="1" x14ac:dyDescent="0.45">
      <c r="B3" s="5"/>
    </row>
    <row r="4" spans="2:14" ht="15" x14ac:dyDescent="0.25">
      <c r="B4" s="30" t="s">
        <v>50</v>
      </c>
      <c r="C4" s="29"/>
      <c r="D4" s="29"/>
      <c r="E4" s="29"/>
      <c r="F4" s="29"/>
      <c r="G4" s="1"/>
      <c r="H4" s="1"/>
      <c r="I4" s="1"/>
      <c r="J4" s="1"/>
    </row>
    <row r="5" spans="2:14" ht="20.100000000000001" customHeight="1" x14ac:dyDescent="0.25"/>
    <row r="6" spans="2:14" ht="20.100000000000001" customHeight="1" x14ac:dyDescent="0.25">
      <c r="B6" s="6" t="s">
        <v>23</v>
      </c>
      <c r="C6" s="6"/>
      <c r="D6" s="6"/>
      <c r="E6" s="23">
        <f ca="1">F21</f>
        <v>7.3451959079539604</v>
      </c>
      <c r="F6" s="6"/>
      <c r="G6" s="6"/>
      <c r="H6" s="6"/>
      <c r="I6" s="6"/>
      <c r="J6" s="6"/>
      <c r="K6" s="6"/>
      <c r="L6" s="6"/>
      <c r="M6" s="6"/>
      <c r="N6" s="6"/>
    </row>
    <row r="7" spans="2:14" ht="20.100000000000001" customHeight="1" x14ac:dyDescent="0.25">
      <c r="B7" s="6" t="s">
        <v>27</v>
      </c>
      <c r="C7" s="6"/>
      <c r="D7" s="6"/>
      <c r="E7" s="24">
        <f>F28</f>
        <v>4.4736991794687722</v>
      </c>
      <c r="F7" s="6"/>
      <c r="G7" s="6"/>
      <c r="H7" s="6"/>
      <c r="I7" s="6"/>
      <c r="J7" s="6"/>
      <c r="K7" s="6"/>
      <c r="L7" s="6"/>
      <c r="M7" s="6"/>
      <c r="N7" s="6"/>
    </row>
    <row r="8" spans="2:14" ht="20.100000000000001" customHeight="1" x14ac:dyDescent="0.25">
      <c r="B8" s="14" t="s">
        <v>51</v>
      </c>
      <c r="C8" s="14"/>
      <c r="D8" s="14"/>
      <c r="E8" s="25">
        <f ca="1">E6+E7</f>
        <v>11.818895087422732</v>
      </c>
      <c r="F8" s="6"/>
      <c r="G8" s="6"/>
      <c r="H8" s="6"/>
      <c r="I8" s="6"/>
      <c r="J8" s="6"/>
      <c r="K8" s="6"/>
      <c r="L8" s="6"/>
      <c r="M8" s="6"/>
      <c r="N8" s="6"/>
    </row>
    <row r="9" spans="2:14" ht="20.100000000000001" customHeight="1" x14ac:dyDescent="0.3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25.5" x14ac:dyDescent="0.35">
      <c r="B10" s="7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20.100000000000001" customHeight="1" x14ac:dyDescent="0.25"/>
    <row r="12" spans="2:14" ht="20.100000000000001" customHeight="1" x14ac:dyDescent="0.25">
      <c r="B12" s="6" t="s">
        <v>60</v>
      </c>
      <c r="F12" s="45">
        <f ca="1">YEAR(NOW())</f>
        <v>2016</v>
      </c>
    </row>
    <row r="13" spans="2:14" ht="20.100000000000001" customHeight="1" x14ac:dyDescent="0.25">
      <c r="B13" s="6" t="s">
        <v>14</v>
      </c>
      <c r="F13" s="16">
        <f>_xll.GI.DividendoPgAcao(Calculadora!$C$6)</f>
        <v>0.86599999999999999</v>
      </c>
    </row>
    <row r="14" spans="2:14" ht="20.100000000000001" customHeight="1" x14ac:dyDescent="0.25">
      <c r="B14" s="6" t="s">
        <v>17</v>
      </c>
      <c r="F14" s="28">
        <f>Calculadora!E11</f>
        <v>0.1</v>
      </c>
    </row>
    <row r="15" spans="2:14" ht="20.100000000000001" customHeight="1" x14ac:dyDescent="0.25">
      <c r="B15" s="6" t="s">
        <v>16</v>
      </c>
      <c r="F15" s="27">
        <f>Calculadora!E12</f>
        <v>10</v>
      </c>
    </row>
    <row r="16" spans="2:14" ht="20.100000000000001" customHeight="1" x14ac:dyDescent="0.25">
      <c r="B16" s="6" t="s">
        <v>15</v>
      </c>
      <c r="F16" s="28">
        <f>Calculadora!E13</f>
        <v>0.14249999999999999</v>
      </c>
    </row>
    <row r="17" spans="2:15" ht="20.100000000000001" customHeight="1" x14ac:dyDescent="0.25">
      <c r="B17" s="17"/>
      <c r="C17" s="18"/>
      <c r="D17" s="18"/>
      <c r="E17" s="18"/>
      <c r="F17" s="19">
        <f ca="1">YEAR(NOW())</f>
        <v>2016</v>
      </c>
      <c r="G17" s="19">
        <f t="shared" ref="G17:O17" ca="1" si="0">F17+1</f>
        <v>2017</v>
      </c>
      <c r="H17" s="19">
        <f t="shared" ca="1" si="0"/>
        <v>2018</v>
      </c>
      <c r="I17" s="19">
        <f t="shared" ca="1" si="0"/>
        <v>2019</v>
      </c>
      <c r="J17" s="19">
        <f t="shared" ca="1" si="0"/>
        <v>2020</v>
      </c>
      <c r="K17" s="19">
        <f t="shared" ca="1" si="0"/>
        <v>2021</v>
      </c>
      <c r="L17" s="19">
        <f t="shared" ca="1" si="0"/>
        <v>2022</v>
      </c>
      <c r="M17" s="19">
        <f t="shared" ca="1" si="0"/>
        <v>2023</v>
      </c>
      <c r="N17" s="19">
        <f t="shared" ca="1" si="0"/>
        <v>2024</v>
      </c>
      <c r="O17" s="19">
        <f t="shared" ca="1" si="0"/>
        <v>2025</v>
      </c>
    </row>
    <row r="18" spans="2:15" ht="20.100000000000001" customHeight="1" x14ac:dyDescent="0.25">
      <c r="B18" s="17" t="s">
        <v>22</v>
      </c>
      <c r="C18" s="18"/>
      <c r="D18" s="18"/>
      <c r="E18" s="18"/>
      <c r="F18" s="19">
        <f t="shared" ref="F18:O18" ca="1" si="1">F17-$F$12</f>
        <v>0</v>
      </c>
      <c r="G18" s="19">
        <f t="shared" ca="1" si="1"/>
        <v>1</v>
      </c>
      <c r="H18" s="19">
        <f t="shared" ca="1" si="1"/>
        <v>2</v>
      </c>
      <c r="I18" s="19">
        <f t="shared" ca="1" si="1"/>
        <v>3</v>
      </c>
      <c r="J18" s="19">
        <f t="shared" ca="1" si="1"/>
        <v>4</v>
      </c>
      <c r="K18" s="19">
        <f t="shared" ca="1" si="1"/>
        <v>5</v>
      </c>
      <c r="L18" s="19">
        <f t="shared" ca="1" si="1"/>
        <v>6</v>
      </c>
      <c r="M18" s="19">
        <f t="shared" ca="1" si="1"/>
        <v>7</v>
      </c>
      <c r="N18" s="19">
        <f t="shared" ca="1" si="1"/>
        <v>8</v>
      </c>
      <c r="O18" s="19">
        <f t="shared" ca="1" si="1"/>
        <v>9</v>
      </c>
    </row>
    <row r="19" spans="2:15" ht="20.100000000000001" customHeight="1" x14ac:dyDescent="0.25">
      <c r="B19" s="17" t="s">
        <v>24</v>
      </c>
      <c r="C19" s="18"/>
      <c r="D19" s="18"/>
      <c r="E19" s="18"/>
      <c r="F19" s="20">
        <f t="shared" ref="F19:O19" ca="1" si="2">IF(F18&lt;=$F$15,($F$13*(1+$F$14)^F18),)</f>
        <v>0.86599999999999999</v>
      </c>
      <c r="G19" s="20">
        <f t="shared" ca="1" si="2"/>
        <v>0.95260000000000011</v>
      </c>
      <c r="H19" s="20">
        <f t="shared" ca="1" si="2"/>
        <v>1.0478600000000002</v>
      </c>
      <c r="I19" s="20">
        <f t="shared" ca="1" si="2"/>
        <v>1.1526460000000003</v>
      </c>
      <c r="J19" s="20">
        <f t="shared" ca="1" si="2"/>
        <v>1.2679106000000004</v>
      </c>
      <c r="K19" s="20">
        <f t="shared" ca="1" si="2"/>
        <v>1.3947016600000004</v>
      </c>
      <c r="L19" s="20">
        <f t="shared" ca="1" si="2"/>
        <v>1.5341718260000008</v>
      </c>
      <c r="M19" s="20">
        <f t="shared" ca="1" si="2"/>
        <v>1.6875890086000009</v>
      </c>
      <c r="N19" s="20">
        <f t="shared" ca="1" si="2"/>
        <v>1.8563479094600011</v>
      </c>
      <c r="O19" s="20">
        <f t="shared" ca="1" si="2"/>
        <v>2.0419827004060012</v>
      </c>
    </row>
    <row r="20" spans="2:15" ht="20.100000000000001" customHeight="1" x14ac:dyDescent="0.25">
      <c r="B20" s="6" t="s">
        <v>25</v>
      </c>
      <c r="F20" s="4">
        <f t="shared" ref="F20:O20" ca="1" si="3">F19/((1+$F$16)^F18)</f>
        <v>0.86599999999999999</v>
      </c>
      <c r="G20" s="4">
        <f t="shared" ca="1" si="3"/>
        <v>0.83378555798687093</v>
      </c>
      <c r="H20" s="4">
        <f t="shared" ca="1" si="3"/>
        <v>0.8027694650201822</v>
      </c>
      <c r="I20" s="4">
        <f t="shared" ca="1" si="3"/>
        <v>0.77290714356428913</v>
      </c>
      <c r="J20" s="4">
        <f t="shared" ca="1" si="3"/>
        <v>0.7441556743288561</v>
      </c>
      <c r="K20" s="4">
        <f t="shared" ca="1" si="3"/>
        <v>0.71647373458358132</v>
      </c>
      <c r="L20" s="4">
        <f t="shared" ca="1" si="3"/>
        <v>0.68982153876756203</v>
      </c>
      <c r="M20" s="4">
        <f t="shared" ca="1" si="3"/>
        <v>0.6641607813079371</v>
      </c>
      <c r="N20" s="4">
        <f t="shared" ca="1" si="3"/>
        <v>0.63945458156562873</v>
      </c>
      <c r="O20" s="4">
        <f t="shared" ca="1" si="3"/>
        <v>0.61566743082905173</v>
      </c>
    </row>
    <row r="21" spans="2:15" ht="20.100000000000001" customHeight="1" x14ac:dyDescent="0.25">
      <c r="B21" s="14" t="s">
        <v>23</v>
      </c>
      <c r="C21" s="2"/>
      <c r="D21" s="2"/>
      <c r="E21" s="2"/>
      <c r="F21" s="22">
        <f ca="1">SUM(F20:O20)</f>
        <v>7.3451959079539604</v>
      </c>
    </row>
    <row r="22" spans="2:15" ht="20.100000000000001" customHeight="1" x14ac:dyDescent="0.25">
      <c r="F22" s="46"/>
    </row>
    <row r="23" spans="2:15" ht="25.5" x14ac:dyDescent="0.35">
      <c r="B23" s="7" t="s">
        <v>7</v>
      </c>
    </row>
    <row r="24" spans="2:15" ht="20.100000000000001" customHeight="1" x14ac:dyDescent="0.25"/>
    <row r="25" spans="2:15" ht="20.100000000000001" customHeight="1" x14ac:dyDescent="0.25">
      <c r="B25" s="6" t="s">
        <v>65</v>
      </c>
      <c r="F25" s="11">
        <f>$F$13*(1+F14)^F15</f>
        <v>2.2461809704466016</v>
      </c>
      <c r="G25" s="46"/>
    </row>
    <row r="26" spans="2:15" ht="20.100000000000001" customHeight="1" x14ac:dyDescent="0.25">
      <c r="B26" s="6" t="s">
        <v>0</v>
      </c>
      <c r="F26" s="21">
        <f>F16</f>
        <v>0.14249999999999999</v>
      </c>
    </row>
    <row r="27" spans="2:15" ht="20.100000000000001" customHeight="1" x14ac:dyDescent="0.25">
      <c r="B27" s="6" t="s">
        <v>26</v>
      </c>
      <c r="F27" s="26">
        <f>Calculadora!E16</f>
        <v>0.01</v>
      </c>
    </row>
    <row r="28" spans="2:15" ht="20.100000000000001" customHeight="1" x14ac:dyDescent="0.25">
      <c r="B28" s="14" t="s">
        <v>27</v>
      </c>
      <c r="C28" s="2"/>
      <c r="D28" s="2"/>
      <c r="E28" s="2"/>
      <c r="F28" s="15">
        <f>(F25/(F26-F27)) / ((1+$F$26)^$F$15)</f>
        <v>4.4736991794687722</v>
      </c>
    </row>
    <row r="29" spans="2:15" ht="20.100000000000001" customHeight="1" x14ac:dyDescent="0.25"/>
    <row r="30" spans="2:15" ht="20.100000000000001" customHeight="1" x14ac:dyDescent="0.25"/>
    <row r="31" spans="2:15" ht="25.5" x14ac:dyDescent="0.35">
      <c r="B31" s="7" t="s">
        <v>11</v>
      </c>
    </row>
    <row r="32" spans="2:15" ht="20.100000000000001" customHeight="1" x14ac:dyDescent="0.25"/>
    <row r="33" spans="2:15" ht="20.100000000000001" customHeight="1" x14ac:dyDescent="0.25">
      <c r="B33" s="52" t="s">
        <v>4</v>
      </c>
      <c r="C33" s="52"/>
      <c r="D33" s="52"/>
      <c r="E33" s="52"/>
      <c r="F33" s="10">
        <f ca="1">E8</f>
        <v>11.818895087422732</v>
      </c>
    </row>
    <row r="34" spans="2:15" ht="20.100000000000001" customHeight="1" x14ac:dyDescent="0.25">
      <c r="B34" s="52" t="s">
        <v>10</v>
      </c>
      <c r="C34" s="52"/>
      <c r="D34" s="52"/>
      <c r="E34" s="52"/>
      <c r="F34" s="11">
        <f>_xll.GI.PrecoUltimo(Calculadora!$C$6)</f>
        <v>16.47</v>
      </c>
    </row>
    <row r="35" spans="2:15" ht="20.100000000000001" customHeight="1" x14ac:dyDescent="0.25">
      <c r="B35" s="53" t="s">
        <v>11</v>
      </c>
      <c r="C35" s="53"/>
      <c r="D35" s="53"/>
      <c r="E35" s="53"/>
      <c r="F35" s="12">
        <f ca="1">((F33-F34)/F33)</f>
        <v>-0.3935312800539888</v>
      </c>
    </row>
    <row r="36" spans="2:15" ht="20.100000000000001" customHeight="1" x14ac:dyDescent="0.25"/>
    <row r="37" spans="2:15" ht="20.100000000000001" customHeight="1" x14ac:dyDescent="0.25"/>
    <row r="38" spans="2:15" ht="25.5" x14ac:dyDescent="0.35">
      <c r="B38" s="7" t="s">
        <v>1</v>
      </c>
    </row>
    <row r="39" spans="2:15" ht="20.100000000000001" customHeight="1" x14ac:dyDescent="0.25">
      <c r="B39" s="8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20.100000000000001" customHeight="1" x14ac:dyDescent="0.25">
      <c r="B40" s="8" t="s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20.100000000000001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20.100000000000001" customHeight="1" x14ac:dyDescent="0.25">
      <c r="E42" s="8">
        <f ca="1">$N$42-9</f>
        <v>2006</v>
      </c>
      <c r="F42" s="8">
        <f ca="1">$N$42-8</f>
        <v>2007</v>
      </c>
      <c r="G42" s="8">
        <f ca="1">$N$42-7</f>
        <v>2008</v>
      </c>
      <c r="H42" s="8">
        <f ca="1">$N$42-6</f>
        <v>2009</v>
      </c>
      <c r="I42" s="8">
        <f ca="1">$N$42-5</f>
        <v>2010</v>
      </c>
      <c r="J42" s="8">
        <f ca="1">$N$42-4</f>
        <v>2011</v>
      </c>
      <c r="K42" s="8">
        <f ca="1">$N$42-3</f>
        <v>2012</v>
      </c>
      <c r="L42" s="8">
        <f ca="1">$N$42-2</f>
        <v>2013</v>
      </c>
      <c r="M42" s="8">
        <f ca="1">$N$42-1</f>
        <v>2014</v>
      </c>
      <c r="N42" s="48">
        <f ca="1">F12-1</f>
        <v>2015</v>
      </c>
    </row>
    <row r="43" spans="2:15" ht="20.100000000000001" customHeight="1" x14ac:dyDescent="0.25">
      <c r="B43" s="8" t="s">
        <v>32</v>
      </c>
      <c r="C43" s="8"/>
      <c r="D43" s="8"/>
      <c r="E43" s="47">
        <f ca="1">_xll.GI.DividendoPgAcao(Calculadora!$C$6,4,E42)</f>
        <v>0.4098</v>
      </c>
      <c r="F43" s="47">
        <f ca="1">_xll.GI.DividendoPgAcao(Calculadora!$C$6,4,F42)</f>
        <v>0.40029999999999999</v>
      </c>
      <c r="G43" s="47">
        <f ca="1">_xll.GI.DividendoPgAcao(Calculadora!$C$6,4,G42)</f>
        <v>0.37519999999999998</v>
      </c>
      <c r="H43" s="47">
        <f ca="1">_xll.GI.DividendoPgAcao(Calculadora!$C$6,4,H42)</f>
        <v>0.39950000000000002</v>
      </c>
      <c r="I43" s="47">
        <f ca="1">_xll.GI.DividendoPgAcao(Calculadora!$C$6,4,I42)</f>
        <v>0.3483</v>
      </c>
      <c r="J43" s="47">
        <f ca="1">_xll.GI.DividendoPgAcao(Calculadora!$C$6,4,J42)</f>
        <v>0.60929999999999995</v>
      </c>
      <c r="K43" s="47">
        <f ca="1">_xll.GI.DividendoPgAcao(Calculadora!$C$6,4,K42)</f>
        <v>0.91320000000000001</v>
      </c>
      <c r="L43" s="47">
        <f ca="1">_xll.GI.DividendoPgAcao(Calculadora!$C$6,4,L42)</f>
        <v>0.97799999999999998</v>
      </c>
      <c r="M43" s="47">
        <f ca="1">_xll.GI.DividendoPgAcao(Calculadora!$C$6,4,M42)</f>
        <v>0.78490000000000004</v>
      </c>
      <c r="N43" s="47">
        <f ca="1">_xll.GI.DividendoPgAcao(Calculadora!$C$6,4,N42)</f>
        <v>0.86599999999999999</v>
      </c>
    </row>
    <row r="44" spans="2:15" ht="20.100000000000001" customHeight="1" x14ac:dyDescent="0.25"/>
    <row r="45" spans="2:15" ht="20.100000000000001" customHeight="1" x14ac:dyDescent="0.25">
      <c r="B45" s="8" t="s">
        <v>36</v>
      </c>
      <c r="C45" s="8"/>
      <c r="E45" s="34">
        <f ca="1">SUM(Cálculo!E43:G43)/3</f>
        <v>0.39510000000000001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20.100000000000001" customHeight="1" x14ac:dyDescent="0.25">
      <c r="B46" s="8" t="s">
        <v>35</v>
      </c>
      <c r="C46" s="8"/>
      <c r="E46" s="34">
        <f ca="1">SUM(Cálculo!L43:N43)/3</f>
        <v>0.87630000000000008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20.100000000000001" customHeight="1" x14ac:dyDescent="0.25">
      <c r="B47" s="8" t="s">
        <v>34</v>
      </c>
      <c r="C47" s="8"/>
      <c r="E47" s="36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20.100000000000001" customHeight="1" x14ac:dyDescent="0.25">
      <c r="B48" s="35" t="s">
        <v>33</v>
      </c>
      <c r="C48" s="8"/>
      <c r="E48" s="49">
        <f ca="1">((E46/E45)^(1/10)) - 1</f>
        <v>8.2915520680448829E-2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</sheetData>
  <mergeCells count="3">
    <mergeCell ref="B33:E33"/>
    <mergeCell ref="B34:E34"/>
    <mergeCell ref="B35:E35"/>
  </mergeCells>
  <conditionalFormatting sqref="F35">
    <cfRule type="colorScale" priority="1">
      <colorScale>
        <cfvo type="min"/>
        <cfvo type="num" val="0"/>
        <cfvo type="max"/>
        <color rgb="FFFF0000"/>
        <color rgb="FFFFEB84"/>
        <color rgb="FF00B050"/>
      </colorScale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O28"/>
  <sheetViews>
    <sheetView showGridLines="0" showRowColHeaders="0" zoomScaleNormal="100" workbookViewId="0">
      <selection activeCell="E11" sqref="E11"/>
    </sheetView>
  </sheetViews>
  <sheetFormatPr defaultColWidth="0" defaultRowHeight="20.100000000000001" customHeight="1" zeroHeight="1" x14ac:dyDescent="0.25"/>
  <cols>
    <col min="1" max="1" width="5.28515625" customWidth="1"/>
    <col min="2" max="2" width="10" customWidth="1"/>
    <col min="3" max="3" width="13.42578125" bestFit="1" customWidth="1"/>
    <col min="4" max="4" width="9.7109375" customWidth="1"/>
    <col min="5" max="5" width="9.7109375" bestFit="1" customWidth="1"/>
    <col min="6" max="6" width="10.85546875" customWidth="1"/>
    <col min="7" max="15" width="9.140625" customWidth="1"/>
    <col min="16" max="16384" width="9.140625" hidden="1"/>
  </cols>
  <sheetData>
    <row r="1" spans="2:8" ht="20.100000000000001" customHeight="1" x14ac:dyDescent="0.25"/>
    <row r="2" spans="2:8" ht="39" customHeight="1" x14ac:dyDescent="0.45">
      <c r="B2" s="5" t="s">
        <v>8</v>
      </c>
    </row>
    <row r="3" spans="2:8" ht="15" x14ac:dyDescent="0.25">
      <c r="B3" s="29" t="s">
        <v>50</v>
      </c>
      <c r="C3" s="29"/>
      <c r="D3" s="29"/>
      <c r="E3" s="29"/>
      <c r="F3" s="29"/>
    </row>
    <row r="4" spans="2:8" ht="20.100000000000001" customHeight="1" x14ac:dyDescent="0.25">
      <c r="B4" s="8" t="s">
        <v>29</v>
      </c>
    </row>
    <row r="5" spans="2:8" ht="20.100000000000001" customHeight="1" x14ac:dyDescent="0.25">
      <c r="B5" s="8"/>
    </row>
    <row r="6" spans="2:8" ht="23.25" x14ac:dyDescent="0.35">
      <c r="B6" s="9" t="s">
        <v>9</v>
      </c>
      <c r="C6" s="43" t="s">
        <v>67</v>
      </c>
      <c r="D6" s="9" t="str">
        <f>_xll.GI.NomeAcao($C$6)</f>
        <v>GRENDENE ON</v>
      </c>
      <c r="H6" s="44"/>
    </row>
    <row r="7" spans="2:8" ht="20.100000000000001" customHeight="1" x14ac:dyDescent="0.25"/>
    <row r="8" spans="2:8" ht="25.5" x14ac:dyDescent="0.35">
      <c r="B8" s="7" t="s">
        <v>3</v>
      </c>
    </row>
    <row r="9" spans="2:8" ht="20.100000000000001" customHeight="1" x14ac:dyDescent="0.25">
      <c r="B9" s="6" t="s">
        <v>14</v>
      </c>
      <c r="E9" s="16">
        <f>_xll.GI.DividendoPgAcao($C$6)</f>
        <v>0.86599999999999999</v>
      </c>
    </row>
    <row r="10" spans="2:8" ht="20.100000000000001" customHeight="1" x14ac:dyDescent="0.25">
      <c r="B10" s="6" t="s">
        <v>52</v>
      </c>
      <c r="E10" s="50">
        <f ca="1">Cálculo!E48</f>
        <v>8.2915520680448829E-2</v>
      </c>
    </row>
    <row r="11" spans="2:8" ht="20.100000000000001" customHeight="1" x14ac:dyDescent="0.25">
      <c r="B11" s="6" t="s">
        <v>17</v>
      </c>
      <c r="E11" s="41">
        <v>0.1</v>
      </c>
    </row>
    <row r="12" spans="2:8" ht="20.100000000000001" customHeight="1" x14ac:dyDescent="0.25">
      <c r="B12" s="6" t="s">
        <v>34</v>
      </c>
      <c r="E12" s="40">
        <v>10</v>
      </c>
    </row>
    <row r="13" spans="2:8" ht="20.100000000000001" customHeight="1" x14ac:dyDescent="0.25">
      <c r="B13" s="6" t="s">
        <v>15</v>
      </c>
      <c r="E13" s="41">
        <v>0.14249999999999999</v>
      </c>
    </row>
    <row r="14" spans="2:8" ht="20.100000000000001" customHeight="1" x14ac:dyDescent="0.25">
      <c r="B14" s="6"/>
      <c r="F14" s="28"/>
    </row>
    <row r="15" spans="2:8" ht="25.5" x14ac:dyDescent="0.35">
      <c r="B15" s="7" t="s">
        <v>7</v>
      </c>
      <c r="F15" s="28"/>
    </row>
    <row r="16" spans="2:8" ht="20.100000000000001" customHeight="1" x14ac:dyDescent="0.25">
      <c r="B16" s="6" t="s">
        <v>37</v>
      </c>
      <c r="E16" s="39">
        <v>0.01</v>
      </c>
    </row>
    <row r="17" spans="1:15" ht="20.100000000000001" customHeight="1" x14ac:dyDescent="0.25">
      <c r="B17" s="6"/>
      <c r="F17" s="28"/>
    </row>
    <row r="18" spans="1:15" ht="25.5" x14ac:dyDescent="0.35">
      <c r="B18" s="7" t="s">
        <v>8</v>
      </c>
      <c r="F18" s="28"/>
    </row>
    <row r="19" spans="1:15" ht="20.100000000000001" customHeight="1" x14ac:dyDescent="0.25">
      <c r="B19" s="6" t="s">
        <v>4</v>
      </c>
      <c r="E19" s="31">
        <f ca="1">Cálculo!E8</f>
        <v>11.818895087422732</v>
      </c>
    </row>
    <row r="20" spans="1:15" ht="20.100000000000001" customHeight="1" x14ac:dyDescent="0.25">
      <c r="B20" s="6" t="s">
        <v>28</v>
      </c>
      <c r="E20" s="31">
        <f>_xll.GI.PrecoUltimo($C$6)</f>
        <v>16.47</v>
      </c>
    </row>
    <row r="21" spans="1:15" ht="20.100000000000001" customHeight="1" x14ac:dyDescent="0.25">
      <c r="B21" s="33" t="s">
        <v>11</v>
      </c>
      <c r="C21" s="33"/>
      <c r="D21" s="33"/>
      <c r="E21" s="12">
        <f ca="1">Cálculo!F35</f>
        <v>-0.3935312800539888</v>
      </c>
    </row>
    <row r="22" spans="1:15" ht="20.100000000000001" customHeight="1" x14ac:dyDescent="0.25"/>
    <row r="23" spans="1:15" ht="20.100000000000001" customHeight="1" x14ac:dyDescent="0.25">
      <c r="A23" s="29"/>
      <c r="B23" s="32" t="s">
        <v>66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20.100000000000001" hidden="1" customHeight="1" x14ac:dyDescent="0.25"/>
    <row r="25" spans="1:15" ht="20.100000000000001" customHeight="1" x14ac:dyDescent="0.25"/>
    <row r="26" spans="1:15" ht="20.100000000000001" customHeight="1" x14ac:dyDescent="0.25"/>
    <row r="27" spans="1:15" ht="20.100000000000001" customHeight="1" x14ac:dyDescent="0.25"/>
    <row r="28" spans="1:15" ht="20.100000000000001" customHeight="1" x14ac:dyDescent="0.25"/>
  </sheetData>
  <conditionalFormatting sqref="E21">
    <cfRule type="colorScale" priority="1">
      <colorScale>
        <cfvo type="min"/>
        <cfvo type="num" val="0"/>
        <cfvo type="max"/>
        <color rgb="FFFF3300"/>
        <color theme="0"/>
        <color rgb="FF92D050"/>
      </colorScale>
    </cfRule>
  </conditionalFormatting>
  <pageMargins left="0.25" right="0.25" top="0.75" bottom="0.75" header="0.3" footer="0.3"/>
  <pageSetup paperSize="9" orientation="landscape" horizontalDpi="0" verticalDpi="0" r:id="rId1"/>
  <ignoredErrors>
    <ignoredError sqref="E10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B1" sqref="B1"/>
    </sheetView>
  </sheetViews>
  <sheetFormatPr defaultRowHeight="15" x14ac:dyDescent="0.25"/>
  <sheetData>
    <row r="1" spans="1:23" x14ac:dyDescent="0.25">
      <c r="B1" s="37">
        <f ca="1">Cálculo!E42</f>
        <v>2006</v>
      </c>
      <c r="C1" s="37">
        <f ca="1">Cálculo!F42</f>
        <v>2007</v>
      </c>
      <c r="D1" s="37">
        <f ca="1">Cálculo!G42</f>
        <v>2008</v>
      </c>
      <c r="E1" s="37">
        <f ca="1">Cálculo!H42</f>
        <v>2009</v>
      </c>
      <c r="F1" s="37">
        <f ca="1">Cálculo!I42</f>
        <v>2010</v>
      </c>
      <c r="G1" s="37">
        <f ca="1">Cálculo!J42</f>
        <v>2011</v>
      </c>
      <c r="H1" s="37">
        <f ca="1">Cálculo!K42</f>
        <v>2012</v>
      </c>
      <c r="I1" s="37">
        <f ca="1">Cálculo!L42</f>
        <v>2013</v>
      </c>
      <c r="J1" s="37">
        <f ca="1">Cálculo!M42</f>
        <v>2014</v>
      </c>
      <c r="K1" s="37">
        <f ca="1">Cálculo!N42</f>
        <v>2015</v>
      </c>
      <c r="L1" s="38">
        <f ca="1">Cálculo!F17</f>
        <v>2016</v>
      </c>
      <c r="M1" s="38">
        <f ca="1">Cálculo!G17</f>
        <v>2017</v>
      </c>
      <c r="N1" s="38">
        <f ca="1">Cálculo!H17</f>
        <v>2018</v>
      </c>
      <c r="O1" s="38">
        <f ca="1">Cálculo!I17</f>
        <v>2019</v>
      </c>
      <c r="P1" s="38">
        <f ca="1">Cálculo!J17</f>
        <v>2020</v>
      </c>
      <c r="Q1" s="38">
        <f ca="1">Cálculo!K17</f>
        <v>2021</v>
      </c>
      <c r="R1" s="38">
        <f ca="1">Cálculo!L17</f>
        <v>2022</v>
      </c>
      <c r="S1" s="38">
        <f ca="1">Cálculo!M17</f>
        <v>2023</v>
      </c>
      <c r="T1" s="38">
        <f ca="1">Cálculo!N17</f>
        <v>2024</v>
      </c>
      <c r="U1" s="38">
        <f ca="1">Cálculo!O17</f>
        <v>2025</v>
      </c>
      <c r="V1" s="3"/>
      <c r="W1" s="3"/>
    </row>
    <row r="2" spans="1:23" x14ac:dyDescent="0.25">
      <c r="A2" t="s">
        <v>2</v>
      </c>
      <c r="B2" s="4">
        <f ca="1">Cálculo!E43</f>
        <v>0.4098</v>
      </c>
      <c r="C2" s="4">
        <f ca="1">Cálculo!F43</f>
        <v>0.40029999999999999</v>
      </c>
      <c r="D2" s="4">
        <f ca="1">Cálculo!G43</f>
        <v>0.37519999999999998</v>
      </c>
      <c r="E2" s="4">
        <f ca="1">Cálculo!H43</f>
        <v>0.39950000000000002</v>
      </c>
      <c r="F2" s="4">
        <f ca="1">Cálculo!I43</f>
        <v>0.3483</v>
      </c>
      <c r="G2" s="4">
        <f ca="1">Cálculo!J43</f>
        <v>0.60929999999999995</v>
      </c>
      <c r="H2" s="4">
        <f ca="1">Cálculo!K43</f>
        <v>0.91320000000000001</v>
      </c>
      <c r="I2" s="4">
        <f ca="1">Cálculo!L43</f>
        <v>0.97799999999999998</v>
      </c>
      <c r="J2" s="4">
        <f ca="1">Cálculo!M43</f>
        <v>0.78490000000000004</v>
      </c>
      <c r="K2" s="4">
        <f ca="1">Cálculo!N43</f>
        <v>0.86599999999999999</v>
      </c>
    </row>
    <row r="3" spans="1:23" x14ac:dyDescent="0.25">
      <c r="A3" t="s">
        <v>38</v>
      </c>
      <c r="L3" s="4">
        <f ca="1">Cálculo!F19</f>
        <v>0.86599999999999999</v>
      </c>
      <c r="M3" s="4">
        <f ca="1">Cálculo!G19</f>
        <v>0.95260000000000011</v>
      </c>
      <c r="N3" s="4">
        <f ca="1">Cálculo!H19</f>
        <v>1.0478600000000002</v>
      </c>
      <c r="O3" s="4">
        <f ca="1">Cálculo!I19</f>
        <v>1.1526460000000003</v>
      </c>
      <c r="P3" s="4">
        <f ca="1">Cálculo!J19</f>
        <v>1.2679106000000004</v>
      </c>
      <c r="Q3" s="4">
        <f ca="1">Cálculo!K19</f>
        <v>1.3947016600000004</v>
      </c>
      <c r="R3" s="4">
        <f ca="1">Cálculo!L19</f>
        <v>1.5341718260000008</v>
      </c>
      <c r="S3" s="4">
        <f ca="1">Cálculo!M19</f>
        <v>1.6875890086000009</v>
      </c>
      <c r="T3" s="4">
        <f ca="1">Cálculo!N19</f>
        <v>1.8563479094600011</v>
      </c>
      <c r="U3" s="4">
        <f ca="1">Cálculo!O19</f>
        <v>2.0419827004060012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Introdução</vt:lpstr>
      <vt:lpstr>Cálculo</vt:lpstr>
      <vt:lpstr>Calculadora</vt:lpstr>
      <vt:lpstr>Dados 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Árvore da Riqueza</dc:creator>
  <cp:lastModifiedBy>daniel.becker</cp:lastModifiedBy>
  <cp:lastPrinted>2015-05-25T18:37:49Z</cp:lastPrinted>
  <dcterms:created xsi:type="dcterms:W3CDTF">2014-02-06T14:11:19Z</dcterms:created>
  <dcterms:modified xsi:type="dcterms:W3CDTF">2016-04-06T13:00:45Z</dcterms:modified>
</cp:coreProperties>
</file>